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<sst xmlns="http://schemas.openxmlformats.org/spreadsheetml/2006/main" count="70" uniqueCount="44">
  <si>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</si>
  <si>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</si>
  <si>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</si>
  <si>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</si>
  <si>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</si>
  <si>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</si>
  <si>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</si>
  <si>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</si>
  <si>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</si>
  <si>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</si>
  <si>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</si>
  <si>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</si>
  <si>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</si>
  <si>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</si>
  <si>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</si>
  <si>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</si>
  <si>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</si>
  <si>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</si>
  <si>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</si>
  <si>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</si>
  <si>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</si>
  <si>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</si>
  <si>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</si>
  <si>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</si>
  <si>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</si>
  <si>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Pfungen</t>
  </si>
  <si>
    <t>Altdorf</t>
  </si>
  <si>
    <t>Frauenfeld</t>
  </si>
  <si>
    <t>Schöftland</t>
  </si>
  <si>
    <t>Möhlin 1</t>
  </si>
  <si>
    <t>Severin Waibel</t>
  </si>
  <si>
    <t>Benjamin Waibel</t>
  </si>
  <si>
    <t xml:space="preserve">Thomas Stojan </t>
  </si>
  <si>
    <t>Severin Zimmermann</t>
  </si>
  <si>
    <t>Michael Baumann</t>
  </si>
  <si>
    <t>Freddy Schenk</t>
  </si>
  <si>
    <t>Alex Dürger</t>
  </si>
  <si>
    <t>Kevin Dürger</t>
  </si>
  <si>
    <t>Beda Planzer</t>
  </si>
  <si>
    <t>Fabian Hauri</t>
  </si>
  <si>
    <t>U23 Final EC-Ausscheidung</t>
  </si>
  <si>
    <t>U23 - EuropaCup Qualifikation</t>
  </si>
  <si>
    <t>39.08.2014 - 19:30 Uhr</t>
  </si>
  <si>
    <t>TH Frauenfeld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</si>
</sst>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7" xfId="0" applyNumberFormat="1" applyFont="1" applyBorder="1" applyAlignment="1">
      <alignment horizontal="left" vertical="center"/>
    </xf>
    <xf numFmtId="177" fontId="1" fillId="0" borderId="2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7" fontId="1" fillId="0" borderId="27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181" fontId="1" fillId="0" borderId="36" xfId="0" applyNumberFormat="1" applyFont="1" applyBorder="1" applyAlignment="1" applyProtection="1">
      <alignment horizontal="left"/>
      <protection locked="0"/>
    </xf>
    <xf numFmtId="181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4" t="s">
        <v>40</v>
      </c>
      <c r="B1" s="44"/>
      <c r="C1" s="44"/>
      <c r="D1" s="44"/>
      <c r="E1" s="44"/>
      <c r="F1" s="44"/>
      <c r="G1" s="44"/>
      <c r="H1" s="44"/>
    </row>
    <row r="2" spans="1:8" ht="15.75" customHeight="1">
      <c r="A2" s="25" t="s">
        <v>21</v>
      </c>
      <c r="B2" s="26"/>
      <c r="C2" s="37" t="s">
        <v>41</v>
      </c>
      <c r="D2" s="37"/>
      <c r="E2" s="37"/>
      <c r="F2" s="37"/>
      <c r="G2" s="37"/>
      <c r="H2" s="37"/>
    </row>
    <row r="3" spans="1:8" ht="15">
      <c r="A3" s="25" t="s">
        <v>0</v>
      </c>
      <c r="B3" s="27"/>
      <c r="C3" s="38" t="s">
        <v>42</v>
      </c>
      <c r="D3" s="38"/>
      <c r="E3" s="38"/>
      <c r="F3" s="39"/>
      <c r="G3" s="39"/>
      <c r="H3" s="39"/>
    </row>
    <row r="4" spans="1:8" ht="15">
      <c r="A4" s="27" t="s">
        <v>1</v>
      </c>
      <c r="B4" s="27"/>
      <c r="C4" s="40" t="s">
        <v>43</v>
      </c>
      <c r="D4" s="39"/>
      <c r="E4" s="39"/>
      <c r="F4" s="39"/>
      <c r="G4" s="39"/>
      <c r="H4" s="39"/>
    </row>
    <row r="5" spans="1:2" ht="15">
      <c r="A5" s="27"/>
      <c r="B5" s="27"/>
    </row>
    <row r="7" ht="15.75">
      <c r="A7" s="7" t="s">
        <v>2</v>
      </c>
    </row>
    <row r="8" spans="1:8" ht="15">
      <c r="A8" s="40" t="s">
        <v>25</v>
      </c>
      <c r="B8" s="40"/>
      <c r="C8" s="40"/>
      <c r="D8" s="45"/>
      <c r="E8" s="45"/>
      <c r="F8" s="45"/>
      <c r="G8" s="45"/>
      <c r="H8" s="45"/>
    </row>
    <row r="9" spans="1:8" ht="15">
      <c r="A9" s="40" t="s">
        <v>27</v>
      </c>
      <c r="B9" s="40"/>
      <c r="C9" s="40"/>
      <c r="D9" s="45"/>
      <c r="E9" s="45"/>
      <c r="F9" s="45"/>
      <c r="G9" s="45"/>
      <c r="H9" s="45"/>
    </row>
    <row r="10" spans="1:8" ht="15">
      <c r="A10" s="40" t="s">
        <v>28</v>
      </c>
      <c r="B10" s="40"/>
      <c r="C10" s="40"/>
      <c r="D10" s="45"/>
      <c r="E10" s="45"/>
      <c r="F10" s="45"/>
      <c r="G10" s="45"/>
      <c r="H10" s="45"/>
    </row>
    <row r="11" spans="1:8" ht="15">
      <c r="A11" s="40" t="s">
        <v>29</v>
      </c>
      <c r="B11" s="40"/>
      <c r="C11" s="40"/>
      <c r="D11" s="45"/>
      <c r="E11" s="45"/>
      <c r="F11" s="45"/>
      <c r="G11" s="45"/>
      <c r="H11" s="45"/>
    </row>
    <row r="12" spans="1:8" ht="15">
      <c r="A12" s="40" t="s">
        <v>26</v>
      </c>
      <c r="B12" s="40"/>
      <c r="C12" s="40"/>
      <c r="D12" s="45"/>
      <c r="E12" s="45"/>
      <c r="F12" s="45"/>
      <c r="G12" s="45"/>
      <c r="H12" s="45"/>
    </row>
    <row r="14" ht="15.75">
      <c r="A14" s="7" t="s">
        <v>6</v>
      </c>
    </row>
    <row r="15" spans="1:8" ht="21" customHeight="1">
      <c r="A15" s="3">
        <v>1</v>
      </c>
      <c r="B15" s="41" t="str">
        <f>A8</f>
        <v>Pfungen</v>
      </c>
      <c r="C15" s="41"/>
      <c r="D15" s="4" t="s">
        <v>3</v>
      </c>
      <c r="E15" s="23" t="str">
        <f>A12</f>
        <v>Altdorf</v>
      </c>
      <c r="F15" s="19">
        <v>9</v>
      </c>
      <c r="G15" s="6" t="s">
        <v>4</v>
      </c>
      <c r="H15" s="19">
        <v>0</v>
      </c>
    </row>
    <row r="16" spans="1:8" ht="21" customHeight="1">
      <c r="A16" s="3">
        <v>2</v>
      </c>
      <c r="B16" s="41" t="str">
        <f>A9</f>
        <v>Frauenfeld</v>
      </c>
      <c r="C16" s="39"/>
      <c r="D16" s="4" t="s">
        <v>3</v>
      </c>
      <c r="E16" s="23" t="str">
        <f>A10</f>
        <v>Schöftland</v>
      </c>
      <c r="F16" s="20">
        <v>4</v>
      </c>
      <c r="G16" s="6" t="s">
        <v>4</v>
      </c>
      <c r="H16" s="20">
        <v>6</v>
      </c>
    </row>
    <row r="17" spans="1:8" ht="21" customHeight="1">
      <c r="A17" s="3">
        <v>3</v>
      </c>
      <c r="B17" s="41" t="str">
        <f>A11</f>
        <v>Möhlin 1</v>
      </c>
      <c r="C17" s="39"/>
      <c r="D17" s="4" t="s">
        <v>3</v>
      </c>
      <c r="E17" s="23" t="str">
        <f>A12</f>
        <v>Altdorf</v>
      </c>
      <c r="F17" s="20">
        <v>2</v>
      </c>
      <c r="G17" s="6" t="s">
        <v>4</v>
      </c>
      <c r="H17" s="20">
        <v>6</v>
      </c>
    </row>
    <row r="18" spans="1:8" ht="21" customHeight="1">
      <c r="A18" s="3">
        <v>4</v>
      </c>
      <c r="B18" s="41" t="str">
        <f>A8</f>
        <v>Pfungen</v>
      </c>
      <c r="C18" s="39"/>
      <c r="D18" s="4" t="s">
        <v>3</v>
      </c>
      <c r="E18" s="23" t="str">
        <f>A10</f>
        <v>Schöftland</v>
      </c>
      <c r="F18" s="20">
        <v>5</v>
      </c>
      <c r="G18" s="6" t="s">
        <v>4</v>
      </c>
      <c r="H18" s="20">
        <v>2</v>
      </c>
    </row>
    <row r="19" spans="1:8" ht="21" customHeight="1">
      <c r="A19" s="3">
        <v>5</v>
      </c>
      <c r="B19" s="41" t="str">
        <f>A9</f>
        <v>Frauenfeld</v>
      </c>
      <c r="C19" s="39"/>
      <c r="D19" s="4" t="s">
        <v>3</v>
      </c>
      <c r="E19" s="23" t="str">
        <f>A11</f>
        <v>Möhlin 1</v>
      </c>
      <c r="F19" s="20">
        <v>3</v>
      </c>
      <c r="G19" s="6" t="s">
        <v>4</v>
      </c>
      <c r="H19" s="20">
        <v>2</v>
      </c>
    </row>
    <row r="20" spans="1:8" ht="21" customHeight="1">
      <c r="A20" s="3">
        <v>6</v>
      </c>
      <c r="B20" s="41" t="str">
        <f>A10</f>
        <v>Schöftland</v>
      </c>
      <c r="C20" s="39"/>
      <c r="D20" s="4" t="s">
        <v>3</v>
      </c>
      <c r="E20" s="23" t="str">
        <f>A12</f>
        <v>Altdorf</v>
      </c>
      <c r="F20" s="20">
        <v>3</v>
      </c>
      <c r="G20" s="6" t="s">
        <v>4</v>
      </c>
      <c r="H20" s="20">
        <v>2</v>
      </c>
    </row>
    <row r="21" spans="1:8" ht="21" customHeight="1">
      <c r="A21" s="3">
        <v>7</v>
      </c>
      <c r="B21" s="41" t="str">
        <f>A8</f>
        <v>Pfungen</v>
      </c>
      <c r="C21" s="39"/>
      <c r="D21" s="4" t="s">
        <v>3</v>
      </c>
      <c r="E21" s="23" t="str">
        <f>A11</f>
        <v>Möhlin 1</v>
      </c>
      <c r="F21" s="20">
        <v>8</v>
      </c>
      <c r="G21" s="6" t="s">
        <v>4</v>
      </c>
      <c r="H21" s="20">
        <v>4</v>
      </c>
    </row>
    <row r="22" spans="1:8" ht="21" customHeight="1">
      <c r="A22" s="3">
        <v>8</v>
      </c>
      <c r="B22" s="41" t="str">
        <f>A9</f>
        <v>Frauenfeld</v>
      </c>
      <c r="C22" s="39"/>
      <c r="D22" s="4" t="s">
        <v>3</v>
      </c>
      <c r="E22" s="23" t="str">
        <f>A12</f>
        <v>Altdorf</v>
      </c>
      <c r="F22" s="20">
        <v>4</v>
      </c>
      <c r="G22" s="6" t="s">
        <v>4</v>
      </c>
      <c r="H22" s="20">
        <v>5</v>
      </c>
    </row>
    <row r="23" spans="1:8" ht="21" customHeight="1">
      <c r="A23" s="3">
        <v>9</v>
      </c>
      <c r="B23" s="41" t="str">
        <f>A10</f>
        <v>Schöftland</v>
      </c>
      <c r="C23" s="39"/>
      <c r="D23" s="4" t="s">
        <v>3</v>
      </c>
      <c r="E23" s="23" t="str">
        <f>A11</f>
        <v>Möhlin 1</v>
      </c>
      <c r="F23" s="20">
        <v>3</v>
      </c>
      <c r="G23" s="6" t="s">
        <v>4</v>
      </c>
      <c r="H23" s="20">
        <v>3</v>
      </c>
    </row>
    <row r="24" spans="1:8" ht="21" customHeight="1">
      <c r="A24" s="3">
        <v>10</v>
      </c>
      <c r="B24" s="41" t="str">
        <f>A8</f>
        <v>Pfungen</v>
      </c>
      <c r="C24" s="39"/>
      <c r="D24" s="4" t="s">
        <v>3</v>
      </c>
      <c r="E24" s="23" t="str">
        <f>A9</f>
        <v>Frauenfeld</v>
      </c>
      <c r="F24" s="20">
        <v>5</v>
      </c>
      <c r="G24" s="6" t="s">
        <v>4</v>
      </c>
      <c r="H24" s="20">
        <v>3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2" t="str">
        <f>Rapport!R20</f>
        <v>Pfungen</v>
      </c>
      <c r="C28" s="43"/>
      <c r="D28" s="43"/>
      <c r="E28" s="43"/>
      <c r="F28" s="43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35" t="str">
        <f>Rapport!R21</f>
        <v>Schöftland</v>
      </c>
      <c r="C29" s="36"/>
      <c r="D29" s="36"/>
      <c r="E29" s="36"/>
      <c r="F29" s="36"/>
      <c r="G29" s="8"/>
      <c r="H29" s="5" t="str">
        <f>IF(B29&gt;"",Rapport!V21&amp;" "&amp;Rangtabelle!I11,"")</f>
        <v>7 </v>
      </c>
      <c r="I29" s="8"/>
    </row>
    <row r="30" spans="1:9" ht="21" customHeight="1">
      <c r="A30" s="3">
        <f>Rapport!Q22</f>
        <v>3</v>
      </c>
      <c r="B30" s="35" t="str">
        <f>Rapport!R22</f>
        <v>Altdorf</v>
      </c>
      <c r="C30" s="36"/>
      <c r="D30" s="36"/>
      <c r="E30" s="36"/>
      <c r="F30" s="36"/>
      <c r="G30" s="8"/>
      <c r="H30" s="5" t="str">
        <f>IF(B30&gt;"",Rapport!V22&amp;" "&amp;Rangtabelle!I12,"")</f>
        <v>6 </v>
      </c>
      <c r="I30" s="8"/>
    </row>
    <row r="31" spans="1:9" ht="21" customHeight="1">
      <c r="A31" s="3">
        <f>Rapport!Q23</f>
        <v>4</v>
      </c>
      <c r="B31" s="35" t="str">
        <f>Rapport!R23</f>
        <v>Frauenfeld</v>
      </c>
      <c r="C31" s="36"/>
      <c r="D31" s="36"/>
      <c r="E31" s="36"/>
      <c r="F31" s="36"/>
      <c r="G31" s="8"/>
      <c r="H31" s="5" t="str">
        <f>IF(B31&gt;"",Rapport!V23&amp;" "&amp;Rangtabelle!I13,"")</f>
        <v>3 </v>
      </c>
      <c r="I31" s="8"/>
    </row>
    <row r="32" spans="1:9" ht="21" customHeight="1">
      <c r="A32" s="3">
        <f>Rapport!Q24</f>
        <v>5</v>
      </c>
      <c r="B32" s="35" t="str">
        <f>Rapport!R24</f>
        <v>Möhlin 1</v>
      </c>
      <c r="C32" s="36"/>
      <c r="D32" s="36"/>
      <c r="E32" s="36"/>
      <c r="F32" s="36"/>
      <c r="G32" s="8"/>
      <c r="H32" s="5" t="str">
        <f>IF(B32&gt;"",Rapport!V24&amp;" "&amp;Rangtabelle!I14,"")</f>
        <v>1 </v>
      </c>
      <c r="I32" s="8"/>
    </row>
  </sheetData>
  <sheetProtection sheet="1" objects="1" scenarios="1"/>
  <mergeCells count="29">
    <mergeCell ref="A1:H1"/>
    <mergeCell ref="B15:C15"/>
    <mergeCell ref="D8:H8"/>
    <mergeCell ref="D9:H9"/>
    <mergeCell ref="D10:H10"/>
    <mergeCell ref="D11:H11"/>
    <mergeCell ref="D12:H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F28"/>
    <mergeCell ref="B29:F29"/>
    <mergeCell ref="B30:F30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7" sqref="D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57" t="str">
        <f>Spielplan!A1</f>
        <v>U23 Final EC-Ausscheidung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ht="15.75" customHeight="1">
      <c r="A2" s="2" t="s">
        <v>21</v>
      </c>
      <c r="B2" s="21"/>
      <c r="C2" s="46" t="str">
        <f>Spielplan!C2</f>
        <v>U23 - EuropaCup Qualifikation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2" t="s">
        <v>0</v>
      </c>
      <c r="C3" s="46" t="str">
        <f>Spielplan!C3</f>
        <v>39.08.2014 - 19:30 Uhr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1" t="s">
        <v>1</v>
      </c>
      <c r="C4" s="46" t="str">
        <f>Spielplan!C4</f>
        <v>TH Frauenfeld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5.75" thickBot="1"/>
    <row r="6" spans="4:19" ht="15.75" thickBot="1">
      <c r="D6" s="75" t="s">
        <v>23</v>
      </c>
      <c r="E6" s="76"/>
      <c r="F6" s="76"/>
      <c r="G6" s="56"/>
      <c r="H6" s="55" t="s">
        <v>24</v>
      </c>
      <c r="I6" s="56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47" t="str">
        <f>A20</f>
        <v>Pfungen</v>
      </c>
      <c r="B7" s="48"/>
      <c r="C7" s="48"/>
      <c r="D7" s="63" t="s">
        <v>30</v>
      </c>
      <c r="E7" s="64"/>
      <c r="F7" s="64"/>
      <c r="G7" s="65"/>
      <c r="H7" s="71"/>
      <c r="I7" s="72"/>
      <c r="J7" s="53">
        <f ca="1">IF(INDIRECT("Spielplan!F"&amp;14+J$6)&lt;&gt;"",INDIRECT("Spielplan!F"&amp;14+J$6),"")</f>
        <v>9</v>
      </c>
      <c r="K7" s="51"/>
      <c r="L7" s="51"/>
      <c r="M7" s="53">
        <f ca="1">IF(INDIRECT("Spielplan!F"&amp;14+M$6)&lt;&gt;"",INDIRECT("Spielplan!F"&amp;14+M$6),"")</f>
        <v>5</v>
      </c>
      <c r="N7" s="51"/>
      <c r="O7" s="51"/>
      <c r="P7" s="53">
        <f ca="1">IF(INDIRECT("Spielplan!F"&amp;14+P$6)&lt;&gt;"",INDIRECT("Spielplan!F"&amp;14+P$6),"")</f>
        <v>8</v>
      </c>
      <c r="Q7" s="51"/>
      <c r="R7" s="51"/>
      <c r="S7" s="53">
        <f ca="1">IF(INDIRECT("Spielplan!F"&amp;14+S$6)&lt;&gt;"",INDIRECT("Spielplan!F"&amp;14+S$6),"")</f>
        <v>5</v>
      </c>
    </row>
    <row r="8" spans="1:19" ht="15.75" thickBot="1">
      <c r="A8" s="58"/>
      <c r="B8" s="59"/>
      <c r="C8" s="59"/>
      <c r="D8" s="60" t="s">
        <v>31</v>
      </c>
      <c r="E8" s="61"/>
      <c r="F8" s="61"/>
      <c r="G8" s="62"/>
      <c r="H8" s="73"/>
      <c r="I8" s="74"/>
      <c r="J8" s="54"/>
      <c r="K8" s="52"/>
      <c r="L8" s="52"/>
      <c r="M8" s="54"/>
      <c r="N8" s="52"/>
      <c r="O8" s="52"/>
      <c r="P8" s="54"/>
      <c r="Q8" s="52"/>
      <c r="R8" s="52"/>
      <c r="S8" s="54"/>
    </row>
    <row r="9" spans="1:19" ht="15">
      <c r="A9" s="47" t="str">
        <f>D20</f>
        <v>Frauenfeld</v>
      </c>
      <c r="B9" s="48"/>
      <c r="C9" s="48"/>
      <c r="D9" s="63" t="s">
        <v>32</v>
      </c>
      <c r="E9" s="64"/>
      <c r="F9" s="64"/>
      <c r="G9" s="65"/>
      <c r="H9" s="71"/>
      <c r="I9" s="72"/>
      <c r="J9" s="51"/>
      <c r="K9" s="53">
        <f ca="1">IF(INDIRECT("Spielplan!F"&amp;14+K$6)&lt;&gt;"",INDIRECT("Spielplan!F"&amp;14+K$6),"")</f>
        <v>4</v>
      </c>
      <c r="L9" s="51"/>
      <c r="M9" s="51"/>
      <c r="N9" s="53">
        <f ca="1">IF(INDIRECT("Spielplan!F"&amp;14+N$6)&lt;&gt;"",INDIRECT("Spielplan!F"&amp;14+N$6),"")</f>
        <v>3</v>
      </c>
      <c r="O9" s="51"/>
      <c r="P9" s="51"/>
      <c r="Q9" s="53">
        <f ca="1">IF(INDIRECT("Spielplan!F"&amp;14+Q$6)&lt;&gt;"",INDIRECT("Spielplan!F"&amp;14+Q$6),"")</f>
        <v>4</v>
      </c>
      <c r="R9" s="51"/>
      <c r="S9" s="53">
        <f ca="1">IF(INDIRECT("Spielplan!H"&amp;14+S$6)&lt;&gt;"",INDIRECT("Spielplan!H"&amp;14+S$6),"")</f>
        <v>3</v>
      </c>
    </row>
    <row r="10" spans="1:19" ht="15.75" thickBot="1">
      <c r="A10" s="49"/>
      <c r="B10" s="50"/>
      <c r="C10" s="50"/>
      <c r="D10" s="60" t="s">
        <v>33</v>
      </c>
      <c r="E10" s="61"/>
      <c r="F10" s="61"/>
      <c r="G10" s="62"/>
      <c r="H10" s="73"/>
      <c r="I10" s="74"/>
      <c r="J10" s="52"/>
      <c r="K10" s="54"/>
      <c r="L10" s="52"/>
      <c r="M10" s="52"/>
      <c r="N10" s="54"/>
      <c r="O10" s="52"/>
      <c r="P10" s="52"/>
      <c r="Q10" s="54"/>
      <c r="R10" s="52"/>
      <c r="S10" s="54"/>
    </row>
    <row r="11" spans="1:19" ht="15">
      <c r="A11" s="47" t="str">
        <f>G20</f>
        <v>Schöftland</v>
      </c>
      <c r="B11" s="48"/>
      <c r="C11" s="48"/>
      <c r="D11" s="63" t="s">
        <v>34</v>
      </c>
      <c r="E11" s="64"/>
      <c r="F11" s="64"/>
      <c r="G11" s="65"/>
      <c r="H11" s="71"/>
      <c r="I11" s="72"/>
      <c r="J11" s="51"/>
      <c r="K11" s="53">
        <f ca="1">IF(INDIRECT("Spielplan!H"&amp;14+K$6)&lt;&gt;"",INDIRECT("Spielplan!H"&amp;14+K$6),"")</f>
        <v>6</v>
      </c>
      <c r="L11" s="51"/>
      <c r="M11" s="53">
        <f ca="1">IF(INDIRECT("Spielplan!H"&amp;14+M$6)&lt;&gt;"",INDIRECT("Spielplan!H"&amp;14+M$6),"")</f>
        <v>2</v>
      </c>
      <c r="N11" s="51"/>
      <c r="O11" s="53">
        <f ca="1">IF(INDIRECT("Spielplan!F"&amp;14+O$6)&lt;&gt;"",INDIRECT("Spielplan!F"&amp;14+O$6),"")</f>
        <v>3</v>
      </c>
      <c r="P11" s="51"/>
      <c r="Q11" s="51"/>
      <c r="R11" s="53">
        <f ca="1">IF(INDIRECT("Spielplan!F"&amp;14+R$6)&lt;&gt;"",INDIRECT("Spielplan!F"&amp;14+R$6),"")</f>
        <v>3</v>
      </c>
      <c r="S11" s="51"/>
    </row>
    <row r="12" spans="1:19" ht="15.75" thickBot="1">
      <c r="A12" s="49"/>
      <c r="B12" s="50"/>
      <c r="C12" s="50"/>
      <c r="D12" s="60" t="s">
        <v>35</v>
      </c>
      <c r="E12" s="61"/>
      <c r="F12" s="61"/>
      <c r="G12" s="62"/>
      <c r="H12" s="73"/>
      <c r="I12" s="74"/>
      <c r="J12" s="52"/>
      <c r="K12" s="54"/>
      <c r="L12" s="52"/>
      <c r="M12" s="54"/>
      <c r="N12" s="52"/>
      <c r="O12" s="54"/>
      <c r="P12" s="52"/>
      <c r="Q12" s="52"/>
      <c r="R12" s="54"/>
      <c r="S12" s="52"/>
    </row>
    <row r="13" spans="1:19" ht="15">
      <c r="A13" s="58" t="str">
        <f>J20</f>
        <v>Möhlin 1</v>
      </c>
      <c r="B13" s="59"/>
      <c r="C13" s="59"/>
      <c r="D13" s="63" t="s">
        <v>36</v>
      </c>
      <c r="E13" s="64"/>
      <c r="F13" s="64"/>
      <c r="G13" s="65"/>
      <c r="H13" s="71"/>
      <c r="I13" s="72"/>
      <c r="J13" s="51"/>
      <c r="K13" s="51"/>
      <c r="L13" s="53">
        <f ca="1">IF(INDIRECT("Spielplan!F"&amp;14+L$6)&lt;&gt;"",INDIRECT("Spielplan!F"&amp;14+L$6),"")</f>
        <v>2</v>
      </c>
      <c r="M13" s="51"/>
      <c r="N13" s="53">
        <f ca="1">IF(INDIRECT("Spielplan!H"&amp;14+N$6)&lt;&gt;"",INDIRECT("Spielplan!H"&amp;14+N$6),"")</f>
        <v>2</v>
      </c>
      <c r="O13" s="51"/>
      <c r="P13" s="53">
        <f ca="1">IF(INDIRECT("Spielplan!H"&amp;14+P$6)&lt;&gt;"",INDIRECT("Spielplan!H"&amp;14+P$6),"")</f>
        <v>4</v>
      </c>
      <c r="Q13" s="51"/>
      <c r="R13" s="53">
        <f ca="1">IF(INDIRECT("Spielplan!H"&amp;14+R$6)&lt;&gt;"",INDIRECT("Spielplan!H"&amp;14+R$6),"")</f>
        <v>3</v>
      </c>
      <c r="S13" s="51"/>
    </row>
    <row r="14" spans="1:19" ht="15.75" thickBot="1">
      <c r="A14" s="49"/>
      <c r="B14" s="50"/>
      <c r="C14" s="50"/>
      <c r="D14" s="60" t="s">
        <v>37</v>
      </c>
      <c r="E14" s="61"/>
      <c r="F14" s="61"/>
      <c r="G14" s="62"/>
      <c r="H14" s="73"/>
      <c r="I14" s="74"/>
      <c r="J14" s="52"/>
      <c r="K14" s="52"/>
      <c r="L14" s="54"/>
      <c r="M14" s="52"/>
      <c r="N14" s="54"/>
      <c r="O14" s="52"/>
      <c r="P14" s="54"/>
      <c r="Q14" s="52"/>
      <c r="R14" s="54"/>
      <c r="S14" s="52"/>
    </row>
    <row r="15" spans="1:19" ht="15">
      <c r="A15" s="58" t="str">
        <f>M20</f>
        <v>Altdorf</v>
      </c>
      <c r="B15" s="59"/>
      <c r="C15" s="59"/>
      <c r="D15" s="63" t="s">
        <v>38</v>
      </c>
      <c r="E15" s="64"/>
      <c r="F15" s="64"/>
      <c r="G15" s="65"/>
      <c r="H15" s="71"/>
      <c r="I15" s="72"/>
      <c r="J15" s="53">
        <f ca="1">IF(INDIRECT("Spielplan!H"&amp;14+J$6)&lt;&gt;"",INDIRECT("Spielplan!H"&amp;14+J$6),"")</f>
        <v>0</v>
      </c>
      <c r="K15" s="51"/>
      <c r="L15" s="53">
        <f ca="1">IF(INDIRECT("Spielplan!H"&amp;14+L$6)&lt;&gt;"",INDIRECT("Spielplan!H"&amp;14+L$6),"")</f>
        <v>6</v>
      </c>
      <c r="M15" s="51"/>
      <c r="N15" s="51"/>
      <c r="O15" s="53">
        <f ca="1">IF(INDIRECT("Spielplan!H"&amp;14+O$6)&lt;&gt;"",INDIRECT("Spielplan!H"&amp;14+O$6),"")</f>
        <v>2</v>
      </c>
      <c r="P15" s="51"/>
      <c r="Q15" s="53">
        <f ca="1">IF(INDIRECT("Spielplan!H"&amp;14+Q$6)&lt;&gt;"",INDIRECT("Spielplan!H"&amp;14+Q$6),"")</f>
        <v>5</v>
      </c>
      <c r="R15" s="51"/>
      <c r="S15" s="51"/>
    </row>
    <row r="16" spans="1:19" ht="15.75" thickBot="1">
      <c r="A16" s="49"/>
      <c r="B16" s="50"/>
      <c r="C16" s="50"/>
      <c r="D16" s="60" t="s">
        <v>39</v>
      </c>
      <c r="E16" s="61"/>
      <c r="F16" s="61"/>
      <c r="G16" s="62"/>
      <c r="H16" s="73"/>
      <c r="I16" s="74"/>
      <c r="J16" s="54"/>
      <c r="K16" s="52"/>
      <c r="L16" s="54"/>
      <c r="M16" s="52"/>
      <c r="N16" s="52"/>
      <c r="O16" s="54"/>
      <c r="P16" s="52"/>
      <c r="Q16" s="54"/>
      <c r="R16" s="52"/>
      <c r="S16" s="52"/>
    </row>
    <row r="19" ht="15.75" thickBot="1"/>
    <row r="20" spans="1:24" ht="15.75" thickBot="1">
      <c r="A20" s="66" t="str">
        <f>Spielplan!A8:B8</f>
        <v>Pfungen</v>
      </c>
      <c r="B20" s="67"/>
      <c r="C20" s="68"/>
      <c r="D20" s="66" t="str">
        <f>Spielplan!A9</f>
        <v>Frauenfeld</v>
      </c>
      <c r="E20" s="67"/>
      <c r="F20" s="68"/>
      <c r="G20" s="66" t="str">
        <f>Spielplan!A10</f>
        <v>Schöftland</v>
      </c>
      <c r="H20" s="67"/>
      <c r="I20" s="68"/>
      <c r="J20" s="66" t="str">
        <f>Spielplan!A11</f>
        <v>Möhlin 1</v>
      </c>
      <c r="K20" s="67"/>
      <c r="L20" s="68"/>
      <c r="M20" s="66" t="str">
        <f>Spielplan!A12</f>
        <v>Altdorf</v>
      </c>
      <c r="N20" s="67"/>
      <c r="O20" s="68"/>
      <c r="Q20" s="3">
        <f>Rangtabelle!K10</f>
        <v>1</v>
      </c>
      <c r="R20" s="23" t="str">
        <f>Rangtabelle!D10</f>
        <v>Pfungen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9</v>
      </c>
      <c r="B21" s="11">
        <f>J15</f>
        <v>0</v>
      </c>
      <c r="C21" s="12">
        <f>IF(A21&lt;&gt;"",IF(A21&gt;B21,3,IF(A21=B21,1,0)),"")</f>
        <v>3</v>
      </c>
      <c r="D21" s="10">
        <f>K9</f>
        <v>4</v>
      </c>
      <c r="E21" s="11">
        <f>K11</f>
        <v>6</v>
      </c>
      <c r="F21" s="12">
        <f>IF(D21&lt;&gt;"",IF(D21&gt;E21,3,IF(D21=E21,1,0)),"")</f>
        <v>0</v>
      </c>
      <c r="G21" s="10">
        <f>K11</f>
        <v>6</v>
      </c>
      <c r="H21" s="11">
        <f>K9</f>
        <v>4</v>
      </c>
      <c r="I21" s="12">
        <f>IF(G21&lt;&gt;"",IF(G21&gt;H21,3,IF(G21=H21,1,0)),"")</f>
        <v>3</v>
      </c>
      <c r="J21" s="10">
        <f>L13</f>
        <v>2</v>
      </c>
      <c r="K21" s="11">
        <f>L15</f>
        <v>6</v>
      </c>
      <c r="L21" s="12">
        <f>IF(J21&lt;&gt;"",IF(J21&gt;K21,3,IF(J21=K21,1,0)),"")</f>
        <v>0</v>
      </c>
      <c r="M21" s="10">
        <f>J15</f>
        <v>0</v>
      </c>
      <c r="N21" s="11">
        <f>J7</f>
        <v>9</v>
      </c>
      <c r="O21" s="12">
        <f>IF(M21&lt;&gt;"",IF(M21&gt;N21,3,IF(M21=N21,1,0)),"")</f>
        <v>0</v>
      </c>
      <c r="Q21" s="3">
        <f>Rangtabelle!K11</f>
        <v>2</v>
      </c>
      <c r="R21" s="23" t="str">
        <f>Rangtabelle!D11</f>
        <v>Schöftland</v>
      </c>
      <c r="V21" s="24">
        <f>Rangtabelle!E11</f>
        <v>7</v>
      </c>
      <c r="W21" s="23">
        <f>IF(R21&gt;"",Rangtabelle!I11,"")</f>
      </c>
      <c r="X21" s="23"/>
    </row>
    <row r="22" spans="1:24" ht="21" customHeight="1">
      <c r="A22" s="13">
        <f>M7</f>
        <v>5</v>
      </c>
      <c r="B22" s="14">
        <f>M11</f>
        <v>2</v>
      </c>
      <c r="C22" s="15">
        <f>IF(A22&lt;&gt;"",IF(A22&gt;B22,3,IF(A22=B22,1,0)),"")</f>
        <v>3</v>
      </c>
      <c r="D22" s="13">
        <f>N9</f>
        <v>3</v>
      </c>
      <c r="E22" s="14">
        <f>N13</f>
        <v>2</v>
      </c>
      <c r="F22" s="15">
        <f>IF(D22&lt;&gt;"",IF(D22&gt;E22,3,IF(D22=E22,1,0)),"")</f>
        <v>3</v>
      </c>
      <c r="G22" s="13">
        <f>M11</f>
        <v>2</v>
      </c>
      <c r="H22" s="14">
        <f>M7</f>
        <v>5</v>
      </c>
      <c r="I22" s="15">
        <f>IF(G22&lt;&gt;"",IF(G22&gt;H22,3,IF(G22=H22,1,0)),"")</f>
        <v>0</v>
      </c>
      <c r="J22" s="13">
        <f>N13</f>
        <v>2</v>
      </c>
      <c r="K22" s="14">
        <f>N9</f>
        <v>3</v>
      </c>
      <c r="L22" s="15">
        <f>IF(J22&lt;&gt;"",IF(J22&gt;K22,3,IF(J22=K22,1,0)),"")</f>
        <v>0</v>
      </c>
      <c r="M22" s="13">
        <f>L15</f>
        <v>6</v>
      </c>
      <c r="N22" s="14">
        <f>L13</f>
        <v>2</v>
      </c>
      <c r="O22" s="15">
        <f>IF(M22&lt;&gt;"",IF(M22&gt;N22,3,IF(M22=N22,1,0)),"")</f>
        <v>3</v>
      </c>
      <c r="Q22" s="3">
        <f>Rangtabelle!K12</f>
        <v>3</v>
      </c>
      <c r="R22" s="23" t="str">
        <f>Rangtabelle!D12</f>
        <v>Altdorf</v>
      </c>
      <c r="V22" s="24">
        <f>Rangtabelle!E12</f>
        <v>6</v>
      </c>
      <c r="W22" s="23">
        <f>IF(R22&gt;"",Rangtabelle!I12,"")</f>
      </c>
      <c r="X22" s="23"/>
    </row>
    <row r="23" spans="1:24" ht="21" customHeight="1">
      <c r="A23" s="28">
        <f>P7</f>
        <v>8</v>
      </c>
      <c r="B23" s="29">
        <f>P13</f>
        <v>4</v>
      </c>
      <c r="C23" s="15">
        <f>IF(A23&lt;&gt;"",IF(A23&gt;B23,3,IF(A23=B23,1,0)),"")</f>
        <v>3</v>
      </c>
      <c r="D23" s="28">
        <f>Q9</f>
        <v>4</v>
      </c>
      <c r="E23" s="29">
        <f>Q15</f>
        <v>5</v>
      </c>
      <c r="F23" s="15">
        <f>IF(D23&lt;&gt;"",IF(D23&gt;E23,3,IF(D23=E23,1,0)),"")</f>
        <v>0</v>
      </c>
      <c r="G23" s="28">
        <f>O11</f>
        <v>3</v>
      </c>
      <c r="H23" s="29">
        <f>O15</f>
        <v>2</v>
      </c>
      <c r="I23" s="15">
        <f>IF(G23&lt;&gt;"",IF(G23&gt;H23,3,IF(G23=H23,1,0)),"")</f>
        <v>3</v>
      </c>
      <c r="J23" s="28">
        <f>P13</f>
        <v>4</v>
      </c>
      <c r="K23" s="29">
        <f>P7</f>
        <v>8</v>
      </c>
      <c r="L23" s="15">
        <f>IF(J23&lt;&gt;"",IF(J23&gt;K23,3,IF(J23=K23,1,0)),"")</f>
        <v>0</v>
      </c>
      <c r="M23" s="28">
        <f>O15</f>
        <v>2</v>
      </c>
      <c r="N23" s="29">
        <f>O11</f>
        <v>3</v>
      </c>
      <c r="O23" s="15">
        <f>IF(M23&lt;&gt;"",IF(M23&gt;N23,3,IF(M23=N23,1,0)),"")</f>
        <v>0</v>
      </c>
      <c r="Q23" s="3">
        <f>Rangtabelle!K13</f>
        <v>4</v>
      </c>
      <c r="R23" s="23" t="str">
        <f>Rangtabelle!D13</f>
        <v>Frauenfeld</v>
      </c>
      <c r="V23" s="24">
        <f>Rangtabelle!E13</f>
        <v>3</v>
      </c>
      <c r="W23" s="23">
        <f>IF(R23&gt;"",Rangtabelle!I13,"")</f>
      </c>
      <c r="X23" s="23"/>
    </row>
    <row r="24" spans="1:24" ht="21" customHeight="1" thickBot="1">
      <c r="A24" s="16">
        <f>S7</f>
        <v>5</v>
      </c>
      <c r="B24" s="17">
        <f>S9</f>
        <v>3</v>
      </c>
      <c r="C24" s="34">
        <f>IF(A24&lt;&gt;"",IF(A24&gt;B24,3,IF(A24=B24,1,0)),"")</f>
        <v>3</v>
      </c>
      <c r="D24" s="16">
        <f>S9</f>
        <v>3</v>
      </c>
      <c r="E24" s="17">
        <f>S7</f>
        <v>5</v>
      </c>
      <c r="F24" s="34">
        <f>IF(D24&lt;&gt;"",IF(D24&gt;E24,3,IF(D24=E24,1,0)),"")</f>
        <v>0</v>
      </c>
      <c r="G24" s="16">
        <f>R11</f>
        <v>3</v>
      </c>
      <c r="H24" s="17">
        <f>R13</f>
        <v>3</v>
      </c>
      <c r="I24" s="34">
        <f>IF(G24&lt;&gt;"",IF(G24&gt;H24,3,IF(G24=H24,1,0)),"")</f>
        <v>1</v>
      </c>
      <c r="J24" s="16">
        <f>R13</f>
        <v>3</v>
      </c>
      <c r="K24" s="17">
        <f>R11</f>
        <v>3</v>
      </c>
      <c r="L24" s="34">
        <f>IF(J24&lt;&gt;"",IF(J24&gt;K24,3,IF(J24=K24,1,0)),"")</f>
        <v>1</v>
      </c>
      <c r="M24" s="16">
        <f>Q15</f>
        <v>5</v>
      </c>
      <c r="N24" s="17">
        <f>Q9</f>
        <v>4</v>
      </c>
      <c r="O24" s="34">
        <f>IF(M24&lt;&gt;"",IF(M24&gt;N24,3,IF(M24=N24,1,0)),"")</f>
        <v>3</v>
      </c>
      <c r="Q24" s="3">
        <f>Rangtabelle!K14</f>
        <v>5</v>
      </c>
      <c r="R24" s="23" t="str">
        <f>Rangtabelle!D14</f>
        <v>Möhlin 1</v>
      </c>
      <c r="V24" s="24">
        <f>Rangtabelle!E14</f>
        <v>1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27</v>
      </c>
      <c r="B25" s="33">
        <f>IF(A21&lt;&gt;"",SUM(B21:B24),"")</f>
        <v>9</v>
      </c>
      <c r="C25" s="31">
        <f>IF(A21&lt;&gt;"",SUM(C21:C24),"")</f>
        <v>12</v>
      </c>
      <c r="D25" s="32">
        <f>IF(D21&lt;&gt;"",SUM(D21:D24),"")</f>
        <v>14</v>
      </c>
      <c r="E25" s="33">
        <f>IF(D21&lt;&gt;"",SUM(E21:E24),"")</f>
        <v>18</v>
      </c>
      <c r="F25" s="31">
        <f>IF(D21&lt;&gt;"",SUM(F21:F24),"")</f>
        <v>3</v>
      </c>
      <c r="G25" s="32">
        <f>IF(G21&lt;&gt;"",SUM(G21:G24),"")</f>
        <v>14</v>
      </c>
      <c r="H25" s="33">
        <f>IF(G21&lt;&gt;"",SUM(H21:H24),"")</f>
        <v>14</v>
      </c>
      <c r="I25" s="31">
        <f>IF(G21&lt;&gt;"",SUM(I21:I24),"")</f>
        <v>7</v>
      </c>
      <c r="J25" s="32">
        <f>IF(J21&lt;&gt;"",SUM(J21:J24),"")</f>
        <v>11</v>
      </c>
      <c r="K25" s="33">
        <f>IF(J21&lt;&gt;"",SUM(K21:K24),"")</f>
        <v>20</v>
      </c>
      <c r="L25" s="31">
        <f>IF(J21&lt;&gt;"",SUM(L21:L24),"")</f>
        <v>1</v>
      </c>
      <c r="M25" s="32">
        <f>IF(M21&lt;&gt;"",SUM(M21:M24),"")</f>
        <v>13</v>
      </c>
      <c r="N25" s="33">
        <f>IF(M21&lt;&gt;"",SUM(N21:N24),"")</f>
        <v>18</v>
      </c>
      <c r="O25" s="31">
        <f>IF(M21&lt;&gt;"",SUM(O21:O24),"")</f>
        <v>6</v>
      </c>
    </row>
    <row r="26" spans="1:15" ht="21" customHeight="1" thickBot="1">
      <c r="A26" s="69">
        <f>IF(A21&lt;&gt;"",A25-B25,"")</f>
        <v>18</v>
      </c>
      <c r="B26" s="70"/>
      <c r="C26" s="18"/>
      <c r="D26" s="69">
        <f>IF(D21&lt;&gt;"",D25-E25,"")</f>
        <v>-4</v>
      </c>
      <c r="E26" s="70"/>
      <c r="F26" s="18"/>
      <c r="G26" s="69">
        <f>IF(G21&lt;&gt;"",G25-H25,"")</f>
        <v>0</v>
      </c>
      <c r="H26" s="70"/>
      <c r="I26" s="18"/>
      <c r="J26" s="69">
        <f>IF(J21&lt;&gt;"",J25-K25,"")</f>
        <v>-9</v>
      </c>
      <c r="K26" s="70"/>
      <c r="L26" s="18"/>
      <c r="M26" s="69">
        <f>IF(M21&lt;&gt;"",M25-N25,"")</f>
        <v>-5</v>
      </c>
      <c r="N26" s="70"/>
      <c r="O26" s="18"/>
    </row>
  </sheetData>
  <sheetProtection sheet="1" objects="1" scenarios="1"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Pfungen</v>
      </c>
      <c r="B2">
        <f>IF(Rapport!A$25&lt;&gt;"",Rapport!A$25,0)</f>
        <v>27</v>
      </c>
      <c r="C2">
        <f>IF(Rapport!B$25&lt;&gt;"",Rapport!B$25,0)</f>
        <v>9</v>
      </c>
      <c r="D2">
        <f>IF(Rapport!C$25&lt;&gt;"",Rapport!C$25,0)</f>
        <v>12</v>
      </c>
      <c r="E2">
        <f>D2*100000-F2*1000+(B2-C2)*100+B2</f>
        <v>1197827</v>
      </c>
      <c r="F2">
        <f>COUNT(Rapport!A$21:A$24)</f>
        <v>4</v>
      </c>
      <c r="G2">
        <f>RANK(E2,E$2:E$6)</f>
        <v>1</v>
      </c>
      <c r="H2">
        <f>E2*10+9-J2</f>
        <v>11978277</v>
      </c>
      <c r="I2">
        <f>IF(SUM($D$2:$D$6)&gt;0,RANK(H2,H$2:H$6),"")</f>
        <v>1</v>
      </c>
      <c r="J2">
        <f>ROW(G2)</f>
        <v>2</v>
      </c>
    </row>
    <row r="3" spans="1:10" ht="12.75">
      <c r="A3" t="str">
        <f>Rapport!A9</f>
        <v>Frauenfeld</v>
      </c>
      <c r="B3">
        <f>IF(Rapport!D$25&lt;&gt;"",Rapport!D$25,0)</f>
        <v>14</v>
      </c>
      <c r="C3">
        <f>IF(Rapport!E$25&lt;&gt;"",Rapport!E$25,0)</f>
        <v>18</v>
      </c>
      <c r="D3">
        <f>IF(Rapport!F$25&lt;&gt;"",Rapport!F$25,0)</f>
        <v>3</v>
      </c>
      <c r="E3">
        <f>D3*100000-F3*1000+(B3-C3)*100+B3</f>
        <v>295614</v>
      </c>
      <c r="F3">
        <f>COUNT(Rapport!A$21:A$24)</f>
        <v>4</v>
      </c>
      <c r="G3">
        <f>RANK(E3,E$2:E$6)</f>
        <v>4</v>
      </c>
      <c r="H3">
        <f>E3*10+9-J3</f>
        <v>2956146</v>
      </c>
      <c r="I3">
        <f>IF(SUM($D$2:$D$6)&gt;0,RANK(H3,H$2:H$6),"")</f>
        <v>4</v>
      </c>
      <c r="J3">
        <f>ROW(G3)</f>
        <v>3</v>
      </c>
    </row>
    <row r="4" spans="1:10" ht="12.75">
      <c r="A4" t="str">
        <f>Rapport!A11</f>
        <v>Schöftland</v>
      </c>
      <c r="B4">
        <f>IF(Rapport!G$25&lt;&gt;"",Rapport!G$25,0)</f>
        <v>14</v>
      </c>
      <c r="C4">
        <f>IF(Rapport!H$25&lt;&gt;"",Rapport!H$25,0)</f>
        <v>14</v>
      </c>
      <c r="D4">
        <f>IF(Rapport!I$25&lt;&gt;"",Rapport!I$25,0)</f>
        <v>7</v>
      </c>
      <c r="E4">
        <f>D4*100000-F4*1000+(B4-C4)*100+B4</f>
        <v>696014</v>
      </c>
      <c r="F4">
        <f>COUNT(Rapport!A$21:A$24)</f>
        <v>4</v>
      </c>
      <c r="G4">
        <f>RANK(E4,E$2:E$6)</f>
        <v>2</v>
      </c>
      <c r="H4">
        <f>E4*10+9-J4</f>
        <v>6960145</v>
      </c>
      <c r="I4">
        <f>IF(SUM($D$2:$D$6)&gt;0,RANK(H4,H$2:H$6),"")</f>
        <v>2</v>
      </c>
      <c r="J4">
        <f>ROW(G4)</f>
        <v>4</v>
      </c>
    </row>
    <row r="5" spans="1:10" ht="12.75">
      <c r="A5" t="str">
        <f>Rapport!A13</f>
        <v>Möhlin 1</v>
      </c>
      <c r="B5">
        <f>IF(Rapport!J$25&lt;&gt;"",Rapport!J$25,0)</f>
        <v>11</v>
      </c>
      <c r="C5">
        <f>IF(Rapport!K$25&lt;&gt;"",Rapport!K$25,0)</f>
        <v>20</v>
      </c>
      <c r="D5">
        <f>IF(Rapport!L$25&lt;&gt;"",Rapport!L$25,0)</f>
        <v>1</v>
      </c>
      <c r="E5">
        <f>D5*100000-F5*1000+(B5-C5)*100+B5</f>
        <v>95111</v>
      </c>
      <c r="F5">
        <f>COUNT(Rapport!A$21:A$24)</f>
        <v>4</v>
      </c>
      <c r="G5">
        <f>RANK(E5,E$2:E$6)</f>
        <v>5</v>
      </c>
      <c r="H5">
        <f>E5*10+9-J5</f>
        <v>951114</v>
      </c>
      <c r="I5">
        <f>IF(SUM($D$2:$D$6)&gt;0,RANK(H5,H$2:H$6),"")</f>
        <v>5</v>
      </c>
      <c r="J5">
        <f>ROW(G5)</f>
        <v>5</v>
      </c>
    </row>
    <row r="6" spans="1:10" ht="12.75">
      <c r="A6" t="str">
        <f>Rapport!A15</f>
        <v>Altdorf</v>
      </c>
      <c r="B6">
        <f>IF(Rapport!M$25&lt;&gt;"",Rapport!M$25,0)</f>
        <v>13</v>
      </c>
      <c r="C6">
        <f>IF(Rapport!N$25&lt;&gt;"",Rapport!N$25,0)</f>
        <v>18</v>
      </c>
      <c r="D6">
        <f>IF(Rapport!O$25&lt;&gt;"",Rapport!O$25,0)</f>
        <v>6</v>
      </c>
      <c r="E6">
        <f>D6*100000-F6*1000+(B6-C6)*100+B6</f>
        <v>595513</v>
      </c>
      <c r="F6">
        <f>COUNT(Rapport!A$21:A$24)</f>
        <v>4</v>
      </c>
      <c r="G6">
        <f>RANK(E6,E$2:E$6)</f>
        <v>3</v>
      </c>
      <c r="H6">
        <f>E6*10+9-J6</f>
        <v>5955133</v>
      </c>
      <c r="I6">
        <f>IF(SUM($D$2:$D$6)&gt;0,RANK(H6,H$2:H$6),"")</f>
        <v>3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Pfungen</v>
      </c>
      <c r="E10">
        <f ca="1">IF(ISERROR(INDIRECT("D"&amp;$B10)),"",INDIRECT("D"&amp;$B10))</f>
        <v>12</v>
      </c>
      <c r="F10">
        <f ca="1">IF(ISERROR(INDIRECT("B"&amp;$B10)),"",INDIRECT("B"&amp;$B10))</f>
        <v>27</v>
      </c>
      <c r="G10">
        <f ca="1">IF(ISERROR(INDIRECT("C"&amp;$B10)),"",INDIRECT("C"&amp;$B10))</f>
        <v>9</v>
      </c>
      <c r="H10" s="22" t="str">
        <f>IF(ISERROR(F10-G10),"",IF(F10-G10&gt;0,"+"&amp;F10-G10,F10-G10))</f>
        <v>+18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4</v>
      </c>
      <c r="C11">
        <f ca="1">IF(ISERROR(INDIRECT("G"&amp;$B11)),"",INDIRECT("G"&amp;$B11))</f>
        <v>2</v>
      </c>
      <c r="D11" t="str">
        <f ca="1">IF(ISERROR(INDIRECT("A"&amp;$B11)),"",INDIRECT("A"&amp;$B11))</f>
        <v>Schöftland</v>
      </c>
      <c r="E11">
        <f ca="1">IF(ISERROR(INDIRECT("D"&amp;$B11)),"",INDIRECT("D"&amp;$B11))</f>
        <v>7</v>
      </c>
      <c r="F11">
        <f ca="1">IF(ISERROR(INDIRECT("B"&amp;$B11)),"",INDIRECT("B"&amp;$B11))</f>
        <v>14</v>
      </c>
      <c r="G11">
        <f ca="1">IF(ISERROR(INDIRECT("C"&amp;$B11)),"",INDIRECT("C"&amp;$B11))</f>
        <v>14</v>
      </c>
      <c r="H11" s="22">
        <f>IF(ISERROR(F11-G11),"",IF(F11-G11&gt;0,"+"&amp;F11-G11,F11-G11))</f>
        <v>0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6</v>
      </c>
      <c r="C12">
        <f ca="1">IF(ISERROR(INDIRECT("G"&amp;$B12)),"",INDIRECT("G"&amp;$B12))</f>
        <v>3</v>
      </c>
      <c r="D12" t="str">
        <f ca="1">IF(ISERROR(INDIRECT("A"&amp;$B12)),"",INDIRECT("A"&amp;$B12))</f>
        <v>Altdorf</v>
      </c>
      <c r="E12">
        <f ca="1">IF(ISERROR(INDIRECT("D"&amp;$B12)),"",INDIRECT("D"&amp;$B12))</f>
        <v>6</v>
      </c>
      <c r="F12">
        <f ca="1">IF(ISERROR(INDIRECT("B"&amp;$B12)),"",INDIRECT("B"&amp;$B12))</f>
        <v>13</v>
      </c>
      <c r="G12">
        <f ca="1">IF(ISERROR(INDIRECT("C"&amp;$B12)),"",INDIRECT("C"&amp;$B12))</f>
        <v>18</v>
      </c>
      <c r="H12" s="22">
        <f>IF(ISERROR(F12-G12),"",IF(F12-G12&gt;0,"+"&amp;F12-G12,F12-G12))</f>
        <v>-5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3</v>
      </c>
      <c r="C13">
        <f ca="1">IF(ISERROR(INDIRECT("G"&amp;$B13)),"",INDIRECT("G"&amp;$B13))</f>
        <v>4</v>
      </c>
      <c r="D13" t="str">
        <f ca="1">IF(ISERROR(INDIRECT("A"&amp;$B13)),"",INDIRECT("A"&amp;$B13))</f>
        <v>Frauenfeld</v>
      </c>
      <c r="E13">
        <f ca="1">IF(ISERROR(INDIRECT("D"&amp;$B13)),"",INDIRECT("D"&amp;$B13))</f>
        <v>3</v>
      </c>
      <c r="F13">
        <f ca="1">IF(ISERROR(INDIRECT("B"&amp;$B13)),"",INDIRECT("B"&amp;$B13))</f>
        <v>14</v>
      </c>
      <c r="G13">
        <f ca="1">IF(ISERROR(INDIRECT("C"&amp;$B13)),"",INDIRECT("C"&amp;$B13))</f>
        <v>18</v>
      </c>
      <c r="H13" s="22">
        <f>IF(ISERROR(F13-G13),"",IF(F13-G13&gt;0,"+"&amp;F13-G13,F13-G13))</f>
        <v>-4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5</v>
      </c>
      <c r="C14">
        <f ca="1">IF(ISERROR(INDIRECT("G"&amp;$B14)),"",INDIRECT("G"&amp;$B14))</f>
        <v>5</v>
      </c>
      <c r="D14" t="str">
        <f ca="1">IF(ISERROR(INDIRECT("A"&amp;$B14)),"",INDIRECT("A"&amp;$B14))</f>
        <v>Möhlin 1</v>
      </c>
      <c r="E14">
        <f ca="1">IF(ISERROR(INDIRECT("D"&amp;$B14)),"",INDIRECT("D"&amp;$B14))</f>
        <v>1</v>
      </c>
      <c r="F14">
        <f ca="1">IF(ISERROR(INDIRECT("B"&amp;$B14)),"",INDIRECT("B"&amp;$B14))</f>
        <v>11</v>
      </c>
      <c r="G14">
        <f ca="1">IF(ISERROR(INDIRECT("C"&amp;$B14)),"",INDIRECT("C"&amp;$B14))</f>
        <v>20</v>
      </c>
      <c r="H14" s="22">
        <f>IF(ISERROR(F14-G14),"",IF(F14-G14&gt;0,"+"&amp;F14-G14,F14-G14))</f>
        <v>-9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2014-08-31T21:57:08Z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